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<sst xmlns="http://schemas.openxmlformats.org/spreadsheetml/2006/main" count="113" uniqueCount="71">
  <si>
    <t>Input Data: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</si>
  <si>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</si>
  <si>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</si>
  <si>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t>Composition</t>
  </si>
  <si>
    <t>Compound</t>
  </si>
  <si>
    <r>
      <t>b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R)</t>
    </r>
  </si>
  <si>
    <r>
      <t>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R)</t>
    </r>
  </si>
  <si>
    <r>
      <t>y</t>
    </r>
    <r>
      <rPr>
        <vertAlign val="subscript"/>
        <sz val="10"/>
        <rFont val="Arial"/>
        <family val="2"/>
      </rPr>
      <t>i</t>
    </r>
  </si>
  <si>
    <r>
      <t>MW</t>
    </r>
    <r>
      <rPr>
        <vertAlign val="subscript"/>
        <sz val="10"/>
        <rFont val="Arial"/>
        <family val="2"/>
      </rPr>
      <t>i</t>
    </r>
  </si>
  <si>
    <r>
      <t>p</t>
    </r>
    <r>
      <rPr>
        <vertAlign val="subscript"/>
        <sz val="10"/>
        <rFont val="Arial"/>
        <family val="2"/>
      </rPr>
      <t>ci</t>
    </r>
    <r>
      <rPr>
        <sz val="10"/>
        <rFont val="Arial"/>
        <family val="2"/>
      </rPr>
      <t xml:space="preserve"> (psia)</t>
    </r>
  </si>
  <si>
    <r>
      <t>T</t>
    </r>
    <r>
      <rPr>
        <vertAlign val="subscript"/>
        <sz val="10"/>
        <rFont val="Arial"/>
        <family val="2"/>
      </rPr>
      <t>ci,</t>
    </r>
    <r>
      <rPr>
        <sz val="10"/>
        <rFont val="Arial"/>
        <family val="2"/>
      </rPr>
      <t xml:space="preserve">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</si>
  <si>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r>
      <t>C</t>
    </r>
    <r>
      <rPr>
        <i/>
        <vertAlign val="subscript"/>
        <sz val="10"/>
        <rFont val="Arial"/>
        <family val="2"/>
      </rPr>
      <t>1</t>
    </r>
  </si>
  <si>
    <r>
      <t>C</t>
    </r>
    <r>
      <rPr>
        <i/>
        <vertAlign val="subscript"/>
        <sz val="10"/>
        <rFont val="Arial"/>
        <family val="2"/>
      </rPr>
      <t>2</t>
    </r>
  </si>
  <si>
    <r>
      <t>C</t>
    </r>
    <r>
      <rPr>
        <i/>
        <vertAlign val="subscript"/>
        <sz val="10"/>
        <rFont val="Arial"/>
        <family val="2"/>
      </rPr>
      <t>3</t>
    </r>
  </si>
  <si>
    <r>
      <t>i-C</t>
    </r>
    <r>
      <rPr>
        <i/>
        <vertAlign val="subscript"/>
        <sz val="10"/>
        <rFont val="Arial"/>
        <family val="2"/>
      </rPr>
      <t>4</t>
    </r>
  </si>
  <si>
    <r>
      <t>n-C</t>
    </r>
    <r>
      <rPr>
        <i/>
        <vertAlign val="subscript"/>
        <sz val="10"/>
        <rFont val="Arial"/>
        <family val="2"/>
      </rPr>
      <t>4</t>
    </r>
  </si>
  <si>
    <r>
      <t>i-C</t>
    </r>
    <r>
      <rPr>
        <i/>
        <vertAlign val="subscript"/>
        <sz val="10"/>
        <rFont val="Arial"/>
        <family val="2"/>
      </rPr>
      <t>5</t>
    </r>
  </si>
  <si>
    <r>
      <t>n-C</t>
    </r>
    <r>
      <rPr>
        <i/>
        <vertAlign val="subscript"/>
        <sz val="10"/>
        <rFont val="Arial"/>
        <family val="2"/>
      </rPr>
      <t>5</t>
    </r>
  </si>
  <si>
    <r>
      <t>C</t>
    </r>
    <r>
      <rPr>
        <i/>
        <vertAlign val="subscript"/>
        <sz val="10"/>
        <rFont val="Arial"/>
        <family val="2"/>
      </rPr>
      <t>6</t>
    </r>
  </si>
  <si>
    <r>
      <t>C</t>
    </r>
    <r>
      <rPr>
        <i/>
        <vertAlign val="subscript"/>
        <sz val="10"/>
        <rFont val="Arial"/>
        <family val="2"/>
      </rPr>
      <t>7+</t>
    </r>
  </si>
  <si>
    <r>
      <t>N</t>
    </r>
    <r>
      <rPr>
        <i/>
        <vertAlign val="subscript"/>
        <sz val="10"/>
        <rFont val="Arial"/>
        <family val="2"/>
      </rPr>
      <t>2</t>
    </r>
  </si>
  <si>
    <r>
      <t>CO</t>
    </r>
    <r>
      <rPr>
        <i/>
        <vertAlign val="subscript"/>
        <sz val="10"/>
        <rFont val="Arial"/>
        <family val="2"/>
      </rPr>
      <t>2</t>
    </r>
  </si>
  <si>
    <r>
      <t>H</t>
    </r>
    <r>
      <rPr>
        <i/>
        <vertAlign val="subscript"/>
        <sz val="10"/>
        <rFont val="Arial"/>
        <family val="2"/>
      </rPr>
      <t>2</t>
    </r>
    <r>
      <rPr>
        <i/>
        <sz val="10"/>
        <rFont val="Arial"/>
        <family val="2"/>
      </rPr>
      <t>S</t>
    </r>
  </si>
  <si>
    <r>
      <t>MW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 </t>
    </r>
  </si>
  <si>
    <r>
      <t>p</t>
    </r>
    <r>
      <rPr>
        <vertAlign val="subscript"/>
        <sz val="10"/>
        <rFont val="Arial"/>
        <family val="2"/>
      </rPr>
      <t>pc</t>
    </r>
    <r>
      <rPr>
        <sz val="10"/>
        <rFont val="Arial"/>
        <family val="0"/>
      </rPr>
      <t xml:space="preserve"> = </t>
    </r>
  </si>
  <si>
    <r>
      <t>T</t>
    </r>
    <r>
      <rPr>
        <vertAlign val="subscript"/>
        <sz val="10"/>
        <rFont val="Arial"/>
        <family val="2"/>
      </rPr>
      <t>pc</t>
    </r>
    <r>
      <rPr>
        <sz val="10"/>
        <rFont val="Arial"/>
        <family val="0"/>
      </rPr>
      <t xml:space="preserve"> = </t>
    </r>
  </si>
  <si>
    <t>Property Table:</t>
  </si>
  <si>
    <r>
      <t>z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MW</t>
    </r>
    <r>
      <rPr>
        <vertAlign val="subscript"/>
        <sz val="10"/>
        <rFont val="Arial"/>
        <family val="2"/>
      </rPr>
      <t>i</t>
    </r>
  </si>
  <si>
    <r>
      <t>z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 xml:space="preserve">ci </t>
    </r>
    <r>
      <rPr>
        <sz val="10"/>
        <rFont val="Arial"/>
        <family val="2"/>
      </rPr>
      <t>(psia)</t>
    </r>
  </si>
  <si>
    <r>
      <t>z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T</t>
    </r>
    <r>
      <rPr>
        <vertAlign val="subscript"/>
        <sz val="10"/>
        <rFont val="Arial"/>
        <family val="2"/>
      </rPr>
      <t>ci</t>
    </r>
    <r>
      <rPr>
        <sz val="10"/>
        <rFont val="Arial"/>
        <family val="2"/>
      </rPr>
      <t xml:space="preserve"> 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R)</t>
    </r>
  </si>
  <si>
    <t>a =</t>
  </si>
  <si>
    <t>c =</t>
  </si>
  <si>
    <t>n =</t>
  </si>
  <si>
    <r>
      <t>k</t>
    </r>
    <r>
      <rPr>
        <vertAlign val="subscript"/>
        <sz val="10"/>
        <rFont val="Arial"/>
        <family val="2"/>
      </rPr>
      <t>i</t>
    </r>
  </si>
  <si>
    <t>F</t>
  </si>
  <si>
    <t>Flash Calculation:</t>
  </si>
  <si>
    <r>
      <t>n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</si>
  <si>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z</t>
    </r>
    <r>
      <rPr>
        <vertAlign val="subscript"/>
        <sz val="10"/>
        <rFont val="Arial"/>
        <family val="2"/>
      </rPr>
      <t>i</t>
    </r>
  </si>
  <si>
    <r>
      <t>z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(k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-1)/[n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(k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-1)+1]</t>
    </r>
  </si>
  <si>
    <r>
      <t>n</t>
    </r>
    <r>
      <rPr>
        <vertAlign val="subscript"/>
        <sz val="10"/>
        <rFont val="Arial"/>
        <family val="2"/>
      </rPr>
      <t>L</t>
    </r>
    <r>
      <rPr>
        <sz val="10"/>
        <rFont val="Arial"/>
        <family val="0"/>
      </rPr>
      <t xml:space="preserve"> =</t>
    </r>
  </si>
  <si>
    <r>
      <t>x</t>
    </r>
    <r>
      <rPr>
        <vertAlign val="subscript"/>
        <sz val="10"/>
        <rFont val="Arial"/>
        <family val="2"/>
      </rPr>
      <t>i</t>
    </r>
  </si>
  <si>
    <r>
      <t>x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MW</t>
    </r>
    <r>
      <rPr>
        <vertAlign val="subscript"/>
        <sz val="10"/>
        <rFont val="Arial"/>
        <family val="2"/>
      </rPr>
      <t>i</t>
    </r>
  </si>
  <si>
    <r>
      <t>y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MW</t>
    </r>
    <r>
      <rPr>
        <vertAlign val="subscript"/>
        <sz val="10"/>
        <rFont val="Arial"/>
        <family val="2"/>
      </rPr>
      <t>i</t>
    </r>
  </si>
  <si>
    <r>
      <t xml:space="preserve"> lb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/ft</t>
    </r>
    <r>
      <rPr>
        <vertAlign val="superscript"/>
        <sz val="10"/>
        <rFont val="Arial"/>
        <family val="2"/>
      </rPr>
      <t>3</t>
    </r>
  </si>
  <si>
    <t xml:space="preserve"> air = 1</t>
  </si>
  <si>
    <t xml:space="preserve"> scf/STB</t>
  </si>
  <si>
    <t xml:space="preserve"> water = 1</t>
  </si>
  <si>
    <t>GOR:</t>
  </si>
  <si>
    <r>
      <t>Mole Fraction (z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>)</t>
    </r>
  </si>
  <si>
    <r>
      <t xml:space="preserve">(pressure &lt; 1,000 psia, temperature &lt; 200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F)</t>
    </r>
  </si>
  <si>
    <t>This spreadsheet performs flash calculations at low pressures and temperatures.</t>
  </si>
  <si>
    <t>LP-Flash.xsl</t>
  </si>
  <si>
    <r>
      <t xml:space="preserve"> scf</t>
    </r>
    <r>
      <rPr>
        <sz val="10"/>
        <rFont val="Arial"/>
        <family val="2"/>
      </rPr>
      <t>/bbl</t>
    </r>
  </si>
  <si>
    <t>Apparent molecular weight of vapor phase:</t>
  </si>
  <si>
    <t>Apparent molecular weight of liquid phase:</t>
  </si>
  <si>
    <t>Specific gravity of liquid phase:</t>
  </si>
  <si>
    <t>Specific gravity of vapor phase:</t>
  </si>
  <si>
    <t>Input vapor phase z-factor:</t>
  </si>
  <si>
    <t>Density of liquid phase:</t>
  </si>
  <si>
    <t>Density of vapor phase:</t>
  </si>
  <si>
    <t>Volume of liquid phase:</t>
  </si>
  <si>
    <t>Volume of vapor phase:</t>
  </si>
  <si>
    <t>API gravity of liquid phase:</t>
  </si>
  <si>
    <t xml:space="preserve"> bbl</t>
  </si>
  <si>
    <t xml:space="preserve"> scf</t>
  </si>
  <si>
    <t xml:space="preserve"> water =1</t>
  </si>
  <si>
    <t>Pressure:</t>
  </si>
  <si>
    <t>Temperature:</t>
  </si>
  <si>
    <t>Specific gravity of stock tank oil:</t>
  </si>
  <si>
    <t>Specific gravity of solution gas:</t>
  </si>
  <si>
    <r>
      <t>Gas solubility (R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):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</si>
</sst>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</numFmts>
  <fonts count="13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165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3" fillId="0" borderId="1" xfId="0" applyFont="1" applyBorder="1" applyAlignment="1">
      <alignment/>
    </xf>
    <xf numFmtId="0" fontId="6" fillId="0" borderId="7" xfId="0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1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66675</xdr:rowOff>
    </xdr:from>
    <xdr:to>
      <xdr:col>4</xdr:col>
      <xdr:colOff>295275</xdr:colOff>
      <xdr:row>4</xdr:row>
      <xdr:rowOff>876300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7175" y="771525"/>
          <a:ext cx="3638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1) Update input data in blue;
2) Run Macro Solution;
3) Enter a value for z-factor in the "Flash Calculation" section;
4) View results.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46">
      <selection activeCell="G95" sqref="A50:G95"/>
    </sheetView>
  </sheetViews>
  <sheetFormatPr defaultColWidth="9.140625" defaultRowHeight="12.75"/>
  <cols>
    <col min="1" max="1" width="10.28125" style="0" customWidth="1"/>
    <col min="2" max="2" width="17.8515625" style="0" customWidth="1"/>
    <col min="3" max="3" width="10.7109375" style="1" customWidth="1"/>
    <col min="4" max="4" width="15.140625" style="46" customWidth="1"/>
    <col min="5" max="5" width="16.28125" style="1" customWidth="1"/>
    <col min="6" max="6" width="8.7109375" style="0" customWidth="1"/>
    <col min="7" max="7" width="12.28125" style="0" customWidth="1"/>
  </cols>
  <sheetData>
    <row r="1" spans="1:7" ht="15.75">
      <c r="A1" s="17" t="s">
        <v>51</v>
      </c>
      <c r="B1" s="18"/>
      <c r="C1" s="19"/>
      <c r="D1" s="38"/>
      <c r="E1" s="19"/>
      <c r="F1" s="18"/>
      <c r="G1" s="21"/>
    </row>
    <row r="2" spans="1:7" ht="12.75">
      <c r="A2" s="22" t="s">
        <v>50</v>
      </c>
      <c r="B2" s="23"/>
      <c r="C2" s="24"/>
      <c r="D2" s="28"/>
      <c r="E2" s="24"/>
      <c r="F2" s="23"/>
      <c r="G2" s="26"/>
    </row>
    <row r="3" spans="1:7" ht="14.25">
      <c r="A3" s="22" t="s">
        <v>49</v>
      </c>
      <c r="B3" s="23"/>
      <c r="C3" s="24"/>
      <c r="D3" s="28"/>
      <c r="E3" s="24"/>
      <c r="F3" s="23"/>
      <c r="G3" s="26"/>
    </row>
    <row r="4" spans="1:7" ht="12.75">
      <c r="A4" s="27"/>
      <c r="B4" s="23"/>
      <c r="C4" s="24"/>
      <c r="D4" s="28"/>
      <c r="E4" s="24"/>
      <c r="F4" s="23"/>
      <c r="G4" s="26"/>
    </row>
    <row r="5" spans="1:7" ht="77.25" customHeight="1">
      <c r="A5" s="27"/>
      <c r="B5" s="23"/>
      <c r="C5" s="24"/>
      <c r="D5" s="28"/>
      <c r="E5" s="24"/>
      <c r="F5" s="23"/>
      <c r="G5" s="26"/>
    </row>
    <row r="6" spans="1:7" ht="12.75">
      <c r="A6" s="22" t="s">
        <v>0</v>
      </c>
      <c r="B6" s="23"/>
      <c r="C6" s="24"/>
      <c r="D6" s="28"/>
      <c r="E6" s="24"/>
      <c r="F6" s="23"/>
      <c r="G6" s="26"/>
    </row>
    <row r="7" spans="1:7" ht="4.5" customHeight="1">
      <c r="A7" s="27"/>
      <c r="B7" s="23"/>
      <c r="C7" s="24"/>
      <c r="D7" s="28"/>
      <c r="E7" s="24"/>
      <c r="F7" s="23"/>
      <c r="G7" s="26"/>
    </row>
    <row r="8" spans="1:7" ht="12.75">
      <c r="A8" s="27"/>
      <c r="B8" s="23" t="s">
        <v>66</v>
      </c>
      <c r="C8" s="24"/>
      <c r="D8" s="43">
        <v>600</v>
      </c>
      <c r="E8" s="42" t="s">
        <v>1</v>
      </c>
      <c r="F8" s="23"/>
      <c r="G8" s="26"/>
    </row>
    <row r="9" spans="1:7" ht="14.25">
      <c r="A9" s="27"/>
      <c r="B9" s="23" t="s">
        <v>67</v>
      </c>
      <c r="C9" s="24"/>
      <c r="D9" s="43">
        <v>200</v>
      </c>
      <c r="E9" s="42" t="s">
        <v>2</v>
      </c>
      <c r="F9" s="23"/>
      <c r="G9" s="26"/>
    </row>
    <row r="10" spans="1:7" ht="12.75">
      <c r="A10" s="27"/>
      <c r="B10" s="23" t="s">
        <v>68</v>
      </c>
      <c r="C10" s="24"/>
      <c r="D10" s="44">
        <v>0.9</v>
      </c>
      <c r="E10" s="42" t="s">
        <v>46</v>
      </c>
      <c r="F10" s="23"/>
      <c r="G10" s="26"/>
    </row>
    <row r="11" spans="1:7" ht="12.75">
      <c r="A11" s="27"/>
      <c r="B11" s="23" t="s">
        <v>69</v>
      </c>
      <c r="C11" s="24"/>
      <c r="D11" s="44">
        <v>0.7</v>
      </c>
      <c r="E11" s="42" t="s">
        <v>44</v>
      </c>
      <c r="F11" s="23"/>
      <c r="G11" s="26"/>
    </row>
    <row r="12" spans="1:7" ht="15.75">
      <c r="A12" s="27"/>
      <c r="B12" s="23" t="s">
        <v>70</v>
      </c>
      <c r="C12" s="24"/>
      <c r="D12" s="43">
        <v>500</v>
      </c>
      <c r="E12" s="42" t="s">
        <v>45</v>
      </c>
      <c r="F12" s="23"/>
      <c r="G12" s="26"/>
    </row>
    <row r="13" spans="1:7" ht="12.75">
      <c r="A13" s="27"/>
      <c r="B13" s="23"/>
      <c r="C13" s="24"/>
      <c r="D13" s="44"/>
      <c r="E13" s="24"/>
      <c r="F13" s="23"/>
      <c r="G13" s="26"/>
    </row>
    <row r="14" spans="1:7" ht="12.75">
      <c r="A14" s="27"/>
      <c r="B14" s="23" t="s">
        <v>3</v>
      </c>
      <c r="C14" s="24"/>
      <c r="D14" s="28"/>
      <c r="E14" s="24"/>
      <c r="F14" s="23"/>
      <c r="G14" s="26"/>
    </row>
    <row r="15" spans="1:13" ht="30" customHeight="1">
      <c r="A15" s="27"/>
      <c r="B15" s="23"/>
      <c r="C15" s="12" t="s">
        <v>4</v>
      </c>
      <c r="D15" s="14" t="s">
        <v>48</v>
      </c>
      <c r="E15" s="24"/>
      <c r="F15" s="23"/>
      <c r="G15" s="26"/>
      <c r="H15" s="4" t="s">
        <v>8</v>
      </c>
      <c r="I15" s="4" t="s">
        <v>27</v>
      </c>
      <c r="J15" s="4" t="s">
        <v>9</v>
      </c>
      <c r="K15" s="4" t="s">
        <v>28</v>
      </c>
      <c r="L15" s="4" t="s">
        <v>10</v>
      </c>
      <c r="M15" s="4" t="s">
        <v>29</v>
      </c>
    </row>
    <row r="16" spans="1:13" ht="15.75">
      <c r="A16" s="27"/>
      <c r="B16" s="23"/>
      <c r="C16" s="13" t="s">
        <v>11</v>
      </c>
      <c r="D16" s="10">
        <v>0.6599</v>
      </c>
      <c r="E16" s="24"/>
      <c r="F16" s="23"/>
      <c r="G16" s="26"/>
      <c r="H16" s="2">
        <v>16.04</v>
      </c>
      <c r="I16" s="2">
        <f aca="true" t="shared" si="0" ref="I16:I27">D16*H16</f>
        <v>10.584796</v>
      </c>
      <c r="J16" s="5">
        <v>673</v>
      </c>
      <c r="K16" s="6">
        <f aca="true" t="shared" si="1" ref="K16:K27">D16*J16</f>
        <v>444.1127</v>
      </c>
      <c r="L16" s="5">
        <v>344</v>
      </c>
      <c r="M16" s="2">
        <f aca="true" t="shared" si="2" ref="M16:M27">D16*L16</f>
        <v>227.00560000000002</v>
      </c>
    </row>
    <row r="17" spans="1:13" ht="15.75">
      <c r="A17" s="27"/>
      <c r="B17" s="23"/>
      <c r="C17" s="13" t="s">
        <v>12</v>
      </c>
      <c r="D17" s="10">
        <v>0.0869</v>
      </c>
      <c r="E17" s="24"/>
      <c r="F17" s="23"/>
      <c r="G17" s="26"/>
      <c r="H17" s="2">
        <v>30.07</v>
      </c>
      <c r="I17" s="2">
        <f t="shared" si="0"/>
        <v>2.613083</v>
      </c>
      <c r="J17" s="5">
        <v>709</v>
      </c>
      <c r="K17" s="6">
        <f t="shared" si="1"/>
        <v>61.612100000000005</v>
      </c>
      <c r="L17" s="5">
        <v>550</v>
      </c>
      <c r="M17" s="2">
        <f t="shared" si="2"/>
        <v>47.795</v>
      </c>
    </row>
    <row r="18" spans="1:13" ht="15.75">
      <c r="A18" s="27"/>
      <c r="B18" s="23"/>
      <c r="C18" s="13" t="s">
        <v>13</v>
      </c>
      <c r="D18" s="10">
        <v>0.0591</v>
      </c>
      <c r="E18" s="24"/>
      <c r="F18" s="23"/>
      <c r="G18" s="26"/>
      <c r="H18" s="2">
        <v>44.1</v>
      </c>
      <c r="I18" s="2">
        <f t="shared" si="0"/>
        <v>2.60631</v>
      </c>
      <c r="J18" s="5">
        <v>618</v>
      </c>
      <c r="K18" s="6">
        <f t="shared" si="1"/>
        <v>36.5238</v>
      </c>
      <c r="L18" s="5">
        <v>666</v>
      </c>
      <c r="M18" s="2">
        <f t="shared" si="2"/>
        <v>39.3606</v>
      </c>
    </row>
    <row r="19" spans="1:13" ht="15.75">
      <c r="A19" s="27"/>
      <c r="B19" s="23"/>
      <c r="C19" s="13" t="s">
        <v>14</v>
      </c>
      <c r="D19" s="10">
        <v>0.0239</v>
      </c>
      <c r="E19" s="24"/>
      <c r="F19" s="23"/>
      <c r="G19" s="26"/>
      <c r="H19" s="3">
        <v>58.12</v>
      </c>
      <c r="I19" s="2">
        <f t="shared" si="0"/>
        <v>1.389068</v>
      </c>
      <c r="J19" s="5">
        <v>530</v>
      </c>
      <c r="K19" s="6">
        <f t="shared" si="1"/>
        <v>12.667</v>
      </c>
      <c r="L19" s="5">
        <v>733</v>
      </c>
      <c r="M19" s="2">
        <f t="shared" si="2"/>
        <v>17.5187</v>
      </c>
    </row>
    <row r="20" spans="1:13" ht="15.75">
      <c r="A20" s="27"/>
      <c r="B20" s="23"/>
      <c r="C20" s="13" t="s">
        <v>15</v>
      </c>
      <c r="D20" s="10">
        <v>0.0278</v>
      </c>
      <c r="E20" s="24"/>
      <c r="F20" s="23"/>
      <c r="G20" s="26"/>
      <c r="H20" s="3">
        <v>58.12</v>
      </c>
      <c r="I20" s="2">
        <f t="shared" si="0"/>
        <v>1.6157359999999998</v>
      </c>
      <c r="J20" s="5">
        <v>551</v>
      </c>
      <c r="K20" s="6">
        <f t="shared" si="1"/>
        <v>15.317799999999998</v>
      </c>
      <c r="L20" s="5">
        <v>766</v>
      </c>
      <c r="M20" s="2">
        <f t="shared" si="2"/>
        <v>21.2948</v>
      </c>
    </row>
    <row r="21" spans="1:13" ht="15.75">
      <c r="A21" s="27"/>
      <c r="B21" s="23"/>
      <c r="C21" s="13" t="s">
        <v>16</v>
      </c>
      <c r="D21" s="10">
        <v>0.0157</v>
      </c>
      <c r="E21" s="24"/>
      <c r="F21" s="23"/>
      <c r="G21" s="26"/>
      <c r="H21" s="3">
        <v>72.15</v>
      </c>
      <c r="I21" s="2">
        <f t="shared" si="0"/>
        <v>1.132755</v>
      </c>
      <c r="J21" s="5">
        <v>482</v>
      </c>
      <c r="K21" s="6">
        <f t="shared" si="1"/>
        <v>7.567399999999999</v>
      </c>
      <c r="L21" s="5">
        <v>830</v>
      </c>
      <c r="M21" s="2">
        <f t="shared" si="2"/>
        <v>13.030999999999999</v>
      </c>
    </row>
    <row r="22" spans="1:13" ht="15.75">
      <c r="A22" s="27"/>
      <c r="B22" s="23"/>
      <c r="C22" s="13" t="s">
        <v>17</v>
      </c>
      <c r="D22" s="10">
        <v>0.0112</v>
      </c>
      <c r="E22" s="24"/>
      <c r="F22" s="23"/>
      <c r="G22" s="26"/>
      <c r="H22" s="3">
        <v>72.15</v>
      </c>
      <c r="I22" s="2">
        <f t="shared" si="0"/>
        <v>0.80808</v>
      </c>
      <c r="J22" s="5">
        <v>485</v>
      </c>
      <c r="K22" s="6">
        <f t="shared" si="1"/>
        <v>5.432</v>
      </c>
      <c r="L22" s="5">
        <v>847</v>
      </c>
      <c r="M22" s="2">
        <f t="shared" si="2"/>
        <v>9.4864</v>
      </c>
    </row>
    <row r="23" spans="1:13" ht="15.75">
      <c r="A23" s="27"/>
      <c r="B23" s="23"/>
      <c r="C23" s="13" t="s">
        <v>18</v>
      </c>
      <c r="D23" s="10">
        <v>0.0181</v>
      </c>
      <c r="E23" s="24"/>
      <c r="F23" s="23"/>
      <c r="G23" s="26"/>
      <c r="H23" s="3">
        <v>86.18</v>
      </c>
      <c r="I23" s="2">
        <f t="shared" si="0"/>
        <v>1.5598580000000002</v>
      </c>
      <c r="J23" s="5">
        <v>434</v>
      </c>
      <c r="K23" s="6">
        <f t="shared" si="1"/>
        <v>7.8554</v>
      </c>
      <c r="L23" s="5">
        <v>915</v>
      </c>
      <c r="M23" s="2">
        <f t="shared" si="2"/>
        <v>16.561500000000002</v>
      </c>
    </row>
    <row r="24" spans="1:13" ht="15.75">
      <c r="A24" s="27"/>
      <c r="B24" s="23"/>
      <c r="C24" s="13" t="s">
        <v>19</v>
      </c>
      <c r="D24" s="10">
        <v>0.0601</v>
      </c>
      <c r="E24" s="24"/>
      <c r="F24" s="23"/>
      <c r="G24" s="26"/>
      <c r="H24" s="3">
        <v>114.23</v>
      </c>
      <c r="I24" s="2">
        <f t="shared" si="0"/>
        <v>6.865223</v>
      </c>
      <c r="J24" s="5">
        <v>361</v>
      </c>
      <c r="K24" s="6">
        <f t="shared" si="1"/>
        <v>21.6961</v>
      </c>
      <c r="L24" s="5">
        <v>1024</v>
      </c>
      <c r="M24" s="2">
        <f t="shared" si="2"/>
        <v>61.5424</v>
      </c>
    </row>
    <row r="25" spans="1:13" ht="15.75">
      <c r="A25" s="27"/>
      <c r="B25" s="23"/>
      <c r="C25" s="13" t="s">
        <v>20</v>
      </c>
      <c r="D25" s="10">
        <v>0.0194</v>
      </c>
      <c r="E25" s="24"/>
      <c r="F25" s="23"/>
      <c r="G25" s="26"/>
      <c r="H25" s="3">
        <v>28.02</v>
      </c>
      <c r="I25" s="2">
        <f t="shared" si="0"/>
        <v>0.543588</v>
      </c>
      <c r="J25" s="5">
        <v>226.9</v>
      </c>
      <c r="K25" s="6">
        <f t="shared" si="1"/>
        <v>4.40186</v>
      </c>
      <c r="L25" s="5">
        <v>492</v>
      </c>
      <c r="M25" s="2">
        <f t="shared" si="2"/>
        <v>9.5448</v>
      </c>
    </row>
    <row r="26" spans="1:13" ht="15.75">
      <c r="A26" s="27"/>
      <c r="B26" s="23"/>
      <c r="C26" s="13" t="s">
        <v>21</v>
      </c>
      <c r="D26" s="10">
        <v>0.0121</v>
      </c>
      <c r="E26" s="24"/>
      <c r="F26" s="23"/>
      <c r="G26" s="26"/>
      <c r="H26" s="3">
        <v>44.01</v>
      </c>
      <c r="I26" s="2">
        <f t="shared" si="0"/>
        <v>0.5325209999999999</v>
      </c>
      <c r="J26" s="5">
        <v>1073</v>
      </c>
      <c r="K26" s="6">
        <f t="shared" si="1"/>
        <v>12.9833</v>
      </c>
      <c r="L26" s="5">
        <v>548</v>
      </c>
      <c r="M26" s="2">
        <f t="shared" si="2"/>
        <v>6.6308</v>
      </c>
    </row>
    <row r="27" spans="1:13" ht="16.5" thickBot="1">
      <c r="A27" s="30"/>
      <c r="B27" s="31"/>
      <c r="C27" s="35" t="s">
        <v>22</v>
      </c>
      <c r="D27" s="36">
        <v>0.0058</v>
      </c>
      <c r="E27" s="32"/>
      <c r="F27" s="31"/>
      <c r="G27" s="33"/>
      <c r="H27" s="3">
        <v>34.08</v>
      </c>
      <c r="I27" s="2">
        <f t="shared" si="0"/>
        <v>0.19766399999999998</v>
      </c>
      <c r="J27" s="5">
        <v>672.4</v>
      </c>
      <c r="K27" s="6">
        <f t="shared" si="1"/>
        <v>3.8999199999999994</v>
      </c>
      <c r="L27" s="5">
        <v>1306</v>
      </c>
      <c r="M27" s="2">
        <f t="shared" si="2"/>
        <v>7.5748</v>
      </c>
    </row>
    <row r="28" spans="1:13" ht="15.75">
      <c r="A28" s="27"/>
      <c r="B28" s="23"/>
      <c r="C28" s="6"/>
      <c r="D28" s="11">
        <f>SUM(D16:D27)</f>
        <v>1.0000000000000002</v>
      </c>
      <c r="E28" s="24"/>
      <c r="F28" s="23"/>
      <c r="G28" s="26"/>
      <c r="H28" s="7" t="s">
        <v>23</v>
      </c>
      <c r="I28" s="8">
        <f>SUM(I16:I27)</f>
        <v>30.448681999999998</v>
      </c>
      <c r="J28" s="7" t="s">
        <v>24</v>
      </c>
      <c r="K28" s="9">
        <f>SUM(K16:K27)</f>
        <v>634.0693800000001</v>
      </c>
      <c r="L28" s="7" t="s">
        <v>25</v>
      </c>
      <c r="M28" s="9">
        <f>SUM(M16:M27)</f>
        <v>477.3464000000001</v>
      </c>
    </row>
    <row r="29" spans="1:7" ht="12.75">
      <c r="A29" s="27"/>
      <c r="B29" s="23"/>
      <c r="C29" s="24"/>
      <c r="D29" s="28"/>
      <c r="E29" s="24"/>
      <c r="F29" s="23"/>
      <c r="G29" s="26"/>
    </row>
    <row r="30" spans="1:7" ht="12.75">
      <c r="A30" s="22" t="s">
        <v>26</v>
      </c>
      <c r="B30" s="23"/>
      <c r="C30" s="24"/>
      <c r="D30" s="28"/>
      <c r="E30" s="24"/>
      <c r="F30" s="23"/>
      <c r="G30" s="26"/>
    </row>
    <row r="31" spans="1:7" ht="12.75">
      <c r="A31" s="22"/>
      <c r="B31" s="23"/>
      <c r="C31" s="24"/>
      <c r="D31" s="28"/>
      <c r="E31" s="24"/>
      <c r="F31" s="23"/>
      <c r="G31" s="26"/>
    </row>
    <row r="32" spans="1:7" ht="12.75">
      <c r="A32" s="22"/>
      <c r="B32" s="7" t="s">
        <v>30</v>
      </c>
      <c r="C32" s="24">
        <f>1.2+4.5/10000*$D$8+1.5/1000000000*$D$8^2</f>
        <v>1.47054</v>
      </c>
      <c r="D32" s="28"/>
      <c r="E32" s="24"/>
      <c r="F32" s="23"/>
      <c r="G32" s="26"/>
    </row>
    <row r="33" spans="1:7" ht="12.75">
      <c r="A33" s="22"/>
      <c r="B33" s="7" t="s">
        <v>31</v>
      </c>
      <c r="C33" s="24">
        <f>0.89-1.7/10000*$D$8-3.5/100000000*$D$8^2</f>
        <v>0.7754000000000001</v>
      </c>
      <c r="D33" s="28"/>
      <c r="E33" s="24"/>
      <c r="F33" s="23"/>
      <c r="G33" s="26"/>
    </row>
    <row r="34" spans="1:7" ht="12.75">
      <c r="A34" s="27"/>
      <c r="B34" s="7" t="s">
        <v>32</v>
      </c>
      <c r="C34" s="24">
        <f>7.3+0.0075*$D$9+0.0016*$D$8</f>
        <v>9.760000000000002</v>
      </c>
      <c r="D34" s="28"/>
      <c r="E34" s="24"/>
      <c r="F34" s="23"/>
      <c r="G34" s="26"/>
    </row>
    <row r="35" spans="1:7" ht="12.75">
      <c r="A35" s="27"/>
      <c r="B35" s="7"/>
      <c r="C35" s="23"/>
      <c r="D35" s="28"/>
      <c r="E35" s="24"/>
      <c r="F35" s="23"/>
      <c r="G35" s="26"/>
    </row>
    <row r="36" spans="1:7" ht="15.75">
      <c r="A36" s="27"/>
      <c r="B36" s="24" t="s">
        <v>4</v>
      </c>
      <c r="C36" s="24" t="s">
        <v>5</v>
      </c>
      <c r="D36" s="24" t="s">
        <v>6</v>
      </c>
      <c r="E36" s="24" t="s">
        <v>34</v>
      </c>
      <c r="F36" s="24" t="s">
        <v>33</v>
      </c>
      <c r="G36" s="26"/>
    </row>
    <row r="37" spans="1:7" ht="15.75">
      <c r="A37" s="27"/>
      <c r="B37" s="13" t="s">
        <v>11</v>
      </c>
      <c r="C37" s="24">
        <v>300</v>
      </c>
      <c r="D37" s="5">
        <v>94</v>
      </c>
      <c r="E37" s="24">
        <f>C37*(1/D37-1/($D$9+460))</f>
        <v>2.736943907156673</v>
      </c>
      <c r="F37" s="24">
        <f>1/$D$8*10^($C$32+$C$33*E37)</f>
        <v>6.525518950507836</v>
      </c>
      <c r="G37" s="26"/>
    </row>
    <row r="38" spans="1:7" ht="15.75">
      <c r="A38" s="27"/>
      <c r="B38" s="13" t="s">
        <v>12</v>
      </c>
      <c r="C38" s="24">
        <v>1145</v>
      </c>
      <c r="D38" s="5">
        <v>303</v>
      </c>
      <c r="E38" s="24">
        <f>C38*(1/D38-1/($D$9+460))</f>
        <v>2.044029402940294</v>
      </c>
      <c r="F38" s="24">
        <f aca="true" t="shared" si="3" ref="F38:F48">1/$D$8*10^($C$32+$C$33*E38)</f>
        <v>1.8937783558482117</v>
      </c>
      <c r="G38" s="26"/>
    </row>
    <row r="39" spans="1:7" ht="15.75">
      <c r="A39" s="27"/>
      <c r="B39" s="13" t="s">
        <v>13</v>
      </c>
      <c r="C39" s="24">
        <v>1799</v>
      </c>
      <c r="D39" s="5">
        <v>416</v>
      </c>
      <c r="E39" s="24">
        <f aca="true" t="shared" si="4" ref="E39:E48">C39*(1/D39-1/($D$9+460))</f>
        <v>1.5987616550116552</v>
      </c>
      <c r="F39" s="24">
        <f t="shared" si="3"/>
        <v>0.8552016633831542</v>
      </c>
      <c r="G39" s="26"/>
    </row>
    <row r="40" spans="1:7" ht="15.75">
      <c r="A40" s="27"/>
      <c r="B40" s="13" t="s">
        <v>14</v>
      </c>
      <c r="C40" s="24">
        <v>2037</v>
      </c>
      <c r="D40" s="5">
        <v>471</v>
      </c>
      <c r="E40" s="24">
        <f t="shared" si="4"/>
        <v>1.2384771279675737</v>
      </c>
      <c r="F40" s="24">
        <f t="shared" si="3"/>
        <v>0.4494733167058877</v>
      </c>
      <c r="G40" s="26"/>
    </row>
    <row r="41" spans="1:7" ht="15.75">
      <c r="A41" s="27"/>
      <c r="B41" s="13" t="s">
        <v>15</v>
      </c>
      <c r="C41" s="24">
        <v>2153</v>
      </c>
      <c r="D41" s="5">
        <v>491</v>
      </c>
      <c r="E41" s="24">
        <f t="shared" si="4"/>
        <v>1.1228075047830643</v>
      </c>
      <c r="F41" s="24">
        <f t="shared" si="3"/>
        <v>0.3656063152273009</v>
      </c>
      <c r="G41" s="26"/>
    </row>
    <row r="42" spans="1:7" ht="15.75">
      <c r="A42" s="27"/>
      <c r="B42" s="13" t="s">
        <v>16</v>
      </c>
      <c r="C42" s="24">
        <v>2368</v>
      </c>
      <c r="D42" s="5">
        <v>542</v>
      </c>
      <c r="E42" s="24">
        <f t="shared" si="4"/>
        <v>0.7811249021581124</v>
      </c>
      <c r="F42" s="24">
        <f t="shared" si="3"/>
        <v>0.19864287798339586</v>
      </c>
      <c r="G42" s="26"/>
    </row>
    <row r="43" spans="1:7" ht="15.75">
      <c r="A43" s="27"/>
      <c r="B43" s="13" t="s">
        <v>17</v>
      </c>
      <c r="C43" s="24">
        <v>2480</v>
      </c>
      <c r="D43" s="5">
        <v>557</v>
      </c>
      <c r="E43" s="24">
        <f t="shared" si="4"/>
        <v>0.6948479408084437</v>
      </c>
      <c r="F43" s="24">
        <f t="shared" si="3"/>
        <v>0.1702839998601677</v>
      </c>
      <c r="G43" s="26"/>
    </row>
    <row r="44" spans="1:7" ht="15.75">
      <c r="A44" s="27"/>
      <c r="B44" s="13" t="s">
        <v>18</v>
      </c>
      <c r="C44" s="24">
        <v>2738</v>
      </c>
      <c r="D44" s="5">
        <v>610</v>
      </c>
      <c r="E44" s="24">
        <f t="shared" si="4"/>
        <v>0.34003974167908596</v>
      </c>
      <c r="F44" s="24">
        <f t="shared" si="3"/>
        <v>0.09037650975245894</v>
      </c>
      <c r="G44" s="26"/>
    </row>
    <row r="45" spans="1:7" ht="15.75">
      <c r="A45" s="27"/>
      <c r="B45" s="13" t="s">
        <v>19</v>
      </c>
      <c r="C45" s="5">
        <f>1013+324*C34-4.256*C34^2</f>
        <v>3769.8236544000006</v>
      </c>
      <c r="D45" s="5">
        <f>301+59.85*C34-0.971*C34^2</f>
        <v>792.6408704</v>
      </c>
      <c r="E45" s="24">
        <f t="shared" si="4"/>
        <v>-0.9558241535909887</v>
      </c>
      <c r="F45" s="24">
        <f t="shared" si="3"/>
        <v>0.008938048376617143</v>
      </c>
      <c r="G45" s="26"/>
    </row>
    <row r="46" spans="1:7" ht="15.75">
      <c r="A46" s="27"/>
      <c r="B46" s="13" t="s">
        <v>20</v>
      </c>
      <c r="C46" s="24">
        <v>470</v>
      </c>
      <c r="D46" s="5">
        <v>109</v>
      </c>
      <c r="E46" s="24">
        <f t="shared" si="4"/>
        <v>3.599805393383375</v>
      </c>
      <c r="F46" s="24">
        <f t="shared" si="3"/>
        <v>30.456349786881816</v>
      </c>
      <c r="G46" s="26"/>
    </row>
    <row r="47" spans="1:7" ht="15.75">
      <c r="A47" s="27"/>
      <c r="B47" s="13" t="s">
        <v>21</v>
      </c>
      <c r="C47" s="24">
        <v>652</v>
      </c>
      <c r="D47" s="5">
        <v>194</v>
      </c>
      <c r="E47" s="24">
        <f t="shared" si="4"/>
        <v>2.372945954389253</v>
      </c>
      <c r="F47" s="24">
        <f t="shared" si="3"/>
        <v>3.406991441859309</v>
      </c>
      <c r="G47" s="26"/>
    </row>
    <row r="48" spans="1:7" ht="15.75">
      <c r="A48" s="27"/>
      <c r="B48" s="13" t="s">
        <v>22</v>
      </c>
      <c r="C48" s="24">
        <v>1136</v>
      </c>
      <c r="D48" s="5">
        <v>331</v>
      </c>
      <c r="E48" s="24">
        <f t="shared" si="4"/>
        <v>1.710812047972169</v>
      </c>
      <c r="F48" s="24">
        <f t="shared" si="3"/>
        <v>1.0446057489077487</v>
      </c>
      <c r="G48" s="26"/>
    </row>
    <row r="49" spans="1:7" ht="13.5" thickBot="1">
      <c r="A49" s="27"/>
      <c r="B49" s="23"/>
      <c r="C49" s="24"/>
      <c r="D49" s="28"/>
      <c r="E49" s="24"/>
      <c r="F49" s="23"/>
      <c r="G49" s="26"/>
    </row>
    <row r="50" spans="1:7" ht="12.75">
      <c r="A50" s="34" t="s">
        <v>35</v>
      </c>
      <c r="B50" s="18"/>
      <c r="C50" s="19"/>
      <c r="D50" s="38"/>
      <c r="E50" s="38"/>
      <c r="F50" s="20"/>
      <c r="G50" s="21"/>
    </row>
    <row r="51" spans="1:7" ht="12.75">
      <c r="A51" s="22"/>
      <c r="B51" s="23"/>
      <c r="C51" s="24"/>
      <c r="D51" s="28"/>
      <c r="E51" s="28"/>
      <c r="F51" s="25"/>
      <c r="G51" s="26"/>
    </row>
    <row r="52" spans="1:7" ht="15.75">
      <c r="A52" s="22"/>
      <c r="B52" s="7" t="s">
        <v>36</v>
      </c>
      <c r="C52" s="41">
        <v>0.8791006495942272</v>
      </c>
      <c r="D52" s="28"/>
      <c r="E52" s="28"/>
      <c r="F52" s="25"/>
      <c r="G52" s="26"/>
    </row>
    <row r="53" spans="1:7" ht="12.75">
      <c r="A53" s="27"/>
      <c r="B53" s="23"/>
      <c r="C53" s="24"/>
      <c r="D53" s="28"/>
      <c r="E53" s="28"/>
      <c r="F53" s="25"/>
      <c r="G53" s="26"/>
    </row>
    <row r="54" spans="1:7" ht="15.75">
      <c r="A54" s="27"/>
      <c r="B54" s="24" t="s">
        <v>4</v>
      </c>
      <c r="C54" s="24" t="s">
        <v>37</v>
      </c>
      <c r="D54" s="28" t="s">
        <v>33</v>
      </c>
      <c r="E54" s="28" t="s">
        <v>38</v>
      </c>
      <c r="F54" s="25"/>
      <c r="G54" s="26"/>
    </row>
    <row r="55" spans="1:7" ht="15.75">
      <c r="A55" s="27"/>
      <c r="B55" s="13" t="s">
        <v>11</v>
      </c>
      <c r="C55" s="28">
        <f>D16</f>
        <v>0.6599</v>
      </c>
      <c r="D55" s="28">
        <f>F37</f>
        <v>6.525518950507836</v>
      </c>
      <c r="E55" s="28">
        <f>C55*(D55-1)/($C$52*(D55-1)+1)</f>
        <v>0.622500702003495</v>
      </c>
      <c r="F55" s="25"/>
      <c r="G55" s="26"/>
    </row>
    <row r="56" spans="1:7" ht="15.75">
      <c r="A56" s="27"/>
      <c r="B56" s="13" t="s">
        <v>12</v>
      </c>
      <c r="C56" s="28">
        <f aca="true" t="shared" si="5" ref="C56:C66">D17</f>
        <v>0.0869</v>
      </c>
      <c r="D56" s="28">
        <f aca="true" t="shared" si="6" ref="D56:D66">F38</f>
        <v>1.8937783558482117</v>
      </c>
      <c r="E56" s="28">
        <f aca="true" t="shared" si="7" ref="E56:E66">C56*(D56-1)/($C$52*(D56-1)+1)</f>
        <v>0.043494663124237026</v>
      </c>
      <c r="F56" s="25"/>
      <c r="G56" s="26"/>
    </row>
    <row r="57" spans="1:7" ht="15.75">
      <c r="A57" s="27"/>
      <c r="B57" s="13" t="s">
        <v>13</v>
      </c>
      <c r="C57" s="28">
        <f t="shared" si="5"/>
        <v>0.0591</v>
      </c>
      <c r="D57" s="28">
        <f t="shared" si="6"/>
        <v>0.8552016633831542</v>
      </c>
      <c r="E57" s="28">
        <f t="shared" si="7"/>
        <v>-0.00980578240522918</v>
      </c>
      <c r="F57" s="25"/>
      <c r="G57" s="26"/>
    </row>
    <row r="58" spans="1:7" ht="15.75">
      <c r="A58" s="27"/>
      <c r="B58" s="13" t="s">
        <v>14</v>
      </c>
      <c r="C58" s="28">
        <f t="shared" si="5"/>
        <v>0.0239</v>
      </c>
      <c r="D58" s="28">
        <f t="shared" si="6"/>
        <v>0.4494733167058877</v>
      </c>
      <c r="E58" s="28">
        <f t="shared" si="7"/>
        <v>-0.025497637811005818</v>
      </c>
      <c r="F58" s="25"/>
      <c r="G58" s="26"/>
    </row>
    <row r="59" spans="1:7" ht="15.75">
      <c r="A59" s="27"/>
      <c r="B59" s="13" t="s">
        <v>15</v>
      </c>
      <c r="C59" s="28">
        <f t="shared" si="5"/>
        <v>0.0278</v>
      </c>
      <c r="D59" s="28">
        <f t="shared" si="6"/>
        <v>0.3656063152273009</v>
      </c>
      <c r="E59" s="28">
        <f t="shared" si="7"/>
        <v>-0.03987334608003597</v>
      </c>
      <c r="F59" s="25"/>
      <c r="G59" s="26"/>
    </row>
    <row r="60" spans="1:7" ht="15.75">
      <c r="A60" s="27"/>
      <c r="B60" s="13" t="s">
        <v>16</v>
      </c>
      <c r="C60" s="28">
        <f t="shared" si="5"/>
        <v>0.0157</v>
      </c>
      <c r="D60" s="28">
        <f t="shared" si="6"/>
        <v>0.19864287798339586</v>
      </c>
      <c r="E60" s="28">
        <f t="shared" si="7"/>
        <v>-0.0425725261445587</v>
      </c>
      <c r="F60" s="25"/>
      <c r="G60" s="26"/>
    </row>
    <row r="61" spans="1:7" ht="15.75">
      <c r="A61" s="27"/>
      <c r="B61" s="13" t="s">
        <v>17</v>
      </c>
      <c r="C61" s="28">
        <f t="shared" si="5"/>
        <v>0.0112</v>
      </c>
      <c r="D61" s="28">
        <f t="shared" si="6"/>
        <v>0.1702839998601677</v>
      </c>
      <c r="E61" s="28">
        <f t="shared" si="7"/>
        <v>-0.03434202611482405</v>
      </c>
      <c r="F61" s="25"/>
      <c r="G61" s="26"/>
    </row>
    <row r="62" spans="1:7" ht="15.75">
      <c r="A62" s="27"/>
      <c r="B62" s="13" t="s">
        <v>18</v>
      </c>
      <c r="C62" s="28">
        <f t="shared" si="5"/>
        <v>0.0181</v>
      </c>
      <c r="D62" s="28">
        <f t="shared" si="6"/>
        <v>0.09037650975245894</v>
      </c>
      <c r="E62" s="28">
        <f t="shared" si="7"/>
        <v>-0.08217736249289899</v>
      </c>
      <c r="F62" s="25"/>
      <c r="G62" s="26"/>
    </row>
    <row r="63" spans="1:7" ht="15.75">
      <c r="A63" s="27"/>
      <c r="B63" s="13" t="s">
        <v>19</v>
      </c>
      <c r="C63" s="28">
        <f t="shared" si="5"/>
        <v>0.0601</v>
      </c>
      <c r="D63" s="28">
        <f t="shared" si="6"/>
        <v>0.008938048376617143</v>
      </c>
      <c r="E63" s="28">
        <f t="shared" si="7"/>
        <v>-0.4625994574148209</v>
      </c>
      <c r="F63" s="25"/>
      <c r="G63" s="26"/>
    </row>
    <row r="64" spans="1:7" ht="15.75">
      <c r="A64" s="27"/>
      <c r="B64" s="13" t="s">
        <v>20</v>
      </c>
      <c r="C64" s="28">
        <f t="shared" si="5"/>
        <v>0.0194</v>
      </c>
      <c r="D64" s="28">
        <f t="shared" si="6"/>
        <v>30.456349786881816</v>
      </c>
      <c r="E64" s="28">
        <f t="shared" si="7"/>
        <v>0.02124748619336538</v>
      </c>
      <c r="F64" s="25"/>
      <c r="G64" s="26"/>
    </row>
    <row r="65" spans="1:7" ht="15.75">
      <c r="A65" s="27"/>
      <c r="B65" s="13" t="s">
        <v>21</v>
      </c>
      <c r="C65" s="28">
        <f t="shared" si="5"/>
        <v>0.0121</v>
      </c>
      <c r="D65" s="28">
        <f t="shared" si="6"/>
        <v>3.406991441859309</v>
      </c>
      <c r="E65" s="28">
        <f t="shared" si="7"/>
        <v>0.009346826392039785</v>
      </c>
      <c r="F65" s="25"/>
      <c r="G65" s="26"/>
    </row>
    <row r="66" spans="1:7" ht="15.75">
      <c r="A66" s="27"/>
      <c r="B66" s="13" t="s">
        <v>22</v>
      </c>
      <c r="C66" s="28">
        <f t="shared" si="5"/>
        <v>0.0058</v>
      </c>
      <c r="D66" s="28">
        <f t="shared" si="6"/>
        <v>1.0446057489077487</v>
      </c>
      <c r="E66" s="39">
        <f t="shared" si="7"/>
        <v>0.00024895123318788905</v>
      </c>
      <c r="F66" s="25"/>
      <c r="G66" s="26"/>
    </row>
    <row r="67" spans="1:7" ht="12.75">
      <c r="A67" s="27"/>
      <c r="B67" s="23"/>
      <c r="C67" s="24"/>
      <c r="D67" s="28"/>
      <c r="E67" s="40">
        <f>SUM(E55:E66)</f>
        <v>-2.9509517048592734E-05</v>
      </c>
      <c r="F67" s="25"/>
      <c r="G67" s="26"/>
    </row>
    <row r="68" spans="1:7" ht="12.75">
      <c r="A68" s="27"/>
      <c r="B68" s="23"/>
      <c r="C68" s="24"/>
      <c r="D68" s="28"/>
      <c r="E68" s="28"/>
      <c r="F68" s="25"/>
      <c r="G68" s="26"/>
    </row>
    <row r="69" spans="1:7" ht="15.75">
      <c r="A69" s="27"/>
      <c r="B69" s="7" t="s">
        <v>39</v>
      </c>
      <c r="C69" s="28">
        <f>1-C52</f>
        <v>0.12089935040577282</v>
      </c>
      <c r="D69" s="28"/>
      <c r="E69" s="28"/>
      <c r="F69" s="25"/>
      <c r="G69" s="26"/>
    </row>
    <row r="70" spans="1:7" ht="12.75">
      <c r="A70" s="27"/>
      <c r="B70" s="23"/>
      <c r="C70" s="24"/>
      <c r="D70" s="28"/>
      <c r="E70" s="28"/>
      <c r="F70" s="25"/>
      <c r="G70" s="26"/>
    </row>
    <row r="71" spans="1:7" ht="15.75">
      <c r="A71" s="27"/>
      <c r="B71" s="24" t="s">
        <v>4</v>
      </c>
      <c r="C71" s="24" t="s">
        <v>40</v>
      </c>
      <c r="D71" s="28" t="s">
        <v>7</v>
      </c>
      <c r="E71" s="28" t="s">
        <v>41</v>
      </c>
      <c r="F71" s="28" t="s">
        <v>42</v>
      </c>
      <c r="G71" s="26"/>
    </row>
    <row r="72" spans="1:7" ht="15.75">
      <c r="A72" s="27"/>
      <c r="B72" s="13" t="s">
        <v>11</v>
      </c>
      <c r="C72" s="28">
        <f>C55/($C$69+$C$52*D55)</f>
        <v>0.11265922849586511</v>
      </c>
      <c r="D72" s="28">
        <f>C72*D55</f>
        <v>0.7351599304993602</v>
      </c>
      <c r="E72" s="28">
        <f aca="true" t="shared" si="8" ref="E72:E83">C72*H16</f>
        <v>1.8070540250736764</v>
      </c>
      <c r="F72" s="28">
        <f aca="true" t="shared" si="9" ref="F72:F83">D72*H16</f>
        <v>11.791965285209738</v>
      </c>
      <c r="G72" s="26"/>
    </row>
    <row r="73" spans="1:7" ht="15.75">
      <c r="A73" s="27"/>
      <c r="B73" s="13" t="s">
        <v>12</v>
      </c>
      <c r="C73" s="28">
        <f aca="true" t="shared" si="10" ref="C73:C83">C56/($C$69+$C$52*D56)</f>
        <v>0.04866381339360116</v>
      </c>
      <c r="D73" s="28">
        <f aca="true" t="shared" si="11" ref="D73:D83">C73*D56</f>
        <v>0.09215847651783819</v>
      </c>
      <c r="E73" s="28">
        <f t="shared" si="8"/>
        <v>1.4633208687455868</v>
      </c>
      <c r="F73" s="28">
        <f t="shared" si="9"/>
        <v>2.7712053888913943</v>
      </c>
      <c r="G73" s="26"/>
    </row>
    <row r="74" spans="1:7" ht="15.75">
      <c r="A74" s="27"/>
      <c r="B74" s="13" t="s">
        <v>13</v>
      </c>
      <c r="C74" s="28">
        <f t="shared" si="10"/>
        <v>0.06772026968221662</v>
      </c>
      <c r="D74" s="28">
        <f t="shared" si="11"/>
        <v>0.057914487276987434</v>
      </c>
      <c r="E74" s="28">
        <f t="shared" si="8"/>
        <v>2.986463892985753</v>
      </c>
      <c r="F74" s="28">
        <f t="shared" si="9"/>
        <v>2.554028888915146</v>
      </c>
      <c r="G74" s="26"/>
    </row>
    <row r="75" spans="1:7" ht="15.75">
      <c r="A75" s="27"/>
      <c r="B75" s="13" t="s">
        <v>14</v>
      </c>
      <c r="C75" s="28">
        <f t="shared" si="10"/>
        <v>0.04631498996277355</v>
      </c>
      <c r="D75" s="28">
        <f t="shared" si="11"/>
        <v>0.020817352151767724</v>
      </c>
      <c r="E75" s="28">
        <f t="shared" si="8"/>
        <v>2.6918272166363986</v>
      </c>
      <c r="F75" s="28">
        <f t="shared" si="9"/>
        <v>1.2099045070607402</v>
      </c>
      <c r="G75" s="26"/>
    </row>
    <row r="76" spans="1:7" ht="15.75">
      <c r="A76" s="27"/>
      <c r="B76" s="13" t="s">
        <v>15</v>
      </c>
      <c r="C76" s="28">
        <f t="shared" si="10"/>
        <v>0.06285268444045505</v>
      </c>
      <c r="D76" s="28">
        <f t="shared" si="11"/>
        <v>0.022979338360419082</v>
      </c>
      <c r="E76" s="28">
        <f t="shared" si="8"/>
        <v>3.6529980196792478</v>
      </c>
      <c r="F76" s="28">
        <f t="shared" si="9"/>
        <v>1.335559145507557</v>
      </c>
      <c r="G76" s="26"/>
    </row>
    <row r="77" spans="1:7" ht="15.75">
      <c r="A77" s="27"/>
      <c r="B77" s="13" t="s">
        <v>16</v>
      </c>
      <c r="C77" s="28">
        <f t="shared" si="10"/>
        <v>0.05312553538854877</v>
      </c>
      <c r="D77" s="28">
        <f t="shared" si="11"/>
        <v>0.010553009243990072</v>
      </c>
      <c r="E77" s="28">
        <f t="shared" si="8"/>
        <v>3.8330073782837943</v>
      </c>
      <c r="F77" s="28">
        <f t="shared" si="9"/>
        <v>0.7613996169538837</v>
      </c>
      <c r="G77" s="26"/>
    </row>
    <row r="78" spans="1:7" ht="15.75">
      <c r="A78" s="27"/>
      <c r="B78" s="13" t="s">
        <v>17</v>
      </c>
      <c r="C78" s="28">
        <f t="shared" si="10"/>
        <v>0.04139009746592374</v>
      </c>
      <c r="D78" s="28">
        <f t="shared" si="11"/>
        <v>0.007048071351099685</v>
      </c>
      <c r="E78" s="28">
        <f t="shared" si="8"/>
        <v>2.9862955321663978</v>
      </c>
      <c r="F78" s="28">
        <f t="shared" si="9"/>
        <v>0.5085183479818424</v>
      </c>
      <c r="G78" s="26"/>
    </row>
    <row r="79" spans="1:7" ht="15.75">
      <c r="A79" s="27"/>
      <c r="B79" s="13" t="s">
        <v>18</v>
      </c>
      <c r="C79" s="28">
        <f t="shared" si="10"/>
        <v>0.09034217274944777</v>
      </c>
      <c r="D79" s="28">
        <f t="shared" si="11"/>
        <v>0.008164810256548796</v>
      </c>
      <c r="E79" s="28">
        <f t="shared" si="8"/>
        <v>7.785688447547409</v>
      </c>
      <c r="F79" s="28">
        <f t="shared" si="9"/>
        <v>0.7036433479093753</v>
      </c>
      <c r="G79" s="26"/>
    </row>
    <row r="80" spans="1:7" ht="15.75">
      <c r="A80" s="27"/>
      <c r="B80" s="13" t="s">
        <v>19</v>
      </c>
      <c r="C80" s="28">
        <f t="shared" si="10"/>
        <v>0.4667714835153063</v>
      </c>
      <c r="D80" s="28">
        <f t="shared" si="11"/>
        <v>0.004172026100485159</v>
      </c>
      <c r="E80" s="28">
        <f t="shared" si="8"/>
        <v>53.31930656195344</v>
      </c>
      <c r="F80" s="28">
        <f t="shared" si="9"/>
        <v>0.4765705414584197</v>
      </c>
      <c r="G80" s="26"/>
    </row>
    <row r="81" spans="1:7" ht="15.75">
      <c r="A81" s="27"/>
      <c r="B81" s="13" t="s">
        <v>20</v>
      </c>
      <c r="C81" s="28">
        <f t="shared" si="10"/>
        <v>0.0007213210851681223</v>
      </c>
      <c r="D81" s="28">
        <f t="shared" si="11"/>
        <v>0.021968807278533502</v>
      </c>
      <c r="E81" s="28">
        <f t="shared" si="8"/>
        <v>0.020211416806410785</v>
      </c>
      <c r="F81" s="28">
        <f t="shared" si="9"/>
        <v>0.6155659799445087</v>
      </c>
      <c r="G81" s="26"/>
    </row>
    <row r="82" spans="1:7" ht="15.75">
      <c r="A82" s="27"/>
      <c r="B82" s="13" t="s">
        <v>21</v>
      </c>
      <c r="C82" s="28">
        <f t="shared" si="10"/>
        <v>0.0038831988471133574</v>
      </c>
      <c r="D82" s="28">
        <f t="shared" si="11"/>
        <v>0.013230025239153143</v>
      </c>
      <c r="E82" s="28">
        <f t="shared" si="8"/>
        <v>0.17089958126145885</v>
      </c>
      <c r="F82" s="28">
        <f t="shared" si="9"/>
        <v>0.5822534107751298</v>
      </c>
      <c r="G82" s="26"/>
    </row>
    <row r="83" spans="1:7" ht="15.75">
      <c r="A83" s="27"/>
      <c r="B83" s="13" t="s">
        <v>22</v>
      </c>
      <c r="C83" s="28">
        <f t="shared" si="10"/>
        <v>0.005581146809187243</v>
      </c>
      <c r="D83" s="28">
        <f t="shared" si="11"/>
        <v>0.005830098042375132</v>
      </c>
      <c r="E83" s="28">
        <f t="shared" si="8"/>
        <v>0.1902054832571012</v>
      </c>
      <c r="F83" s="28">
        <f t="shared" si="9"/>
        <v>0.1986897412841445</v>
      </c>
      <c r="G83" s="26"/>
    </row>
    <row r="84" spans="1:7" ht="12.75">
      <c r="A84" s="27"/>
      <c r="B84" s="23"/>
      <c r="C84" s="24"/>
      <c r="D84" s="28"/>
      <c r="E84" s="24"/>
      <c r="F84" s="23"/>
      <c r="G84" s="26"/>
    </row>
    <row r="85" spans="1:7" ht="12.75">
      <c r="A85" s="27"/>
      <c r="B85" s="16" t="s">
        <v>54</v>
      </c>
      <c r="C85" s="24"/>
      <c r="D85" s="28"/>
      <c r="E85" s="24"/>
      <c r="F85" s="2">
        <f>SUM(E72:E83)</f>
        <v>80.90727842439667</v>
      </c>
      <c r="G85" s="26"/>
    </row>
    <row r="86" spans="1:7" ht="12.75">
      <c r="A86" s="27"/>
      <c r="B86" s="16" t="s">
        <v>53</v>
      </c>
      <c r="C86" s="24"/>
      <c r="D86" s="28"/>
      <c r="E86" s="2"/>
      <c r="F86" s="2">
        <f>SUM(F72:F83)</f>
        <v>23.50930420189188</v>
      </c>
      <c r="G86" s="26"/>
    </row>
    <row r="87" spans="1:7" ht="12.75">
      <c r="A87" s="27"/>
      <c r="B87" s="23" t="s">
        <v>55</v>
      </c>
      <c r="C87" s="24"/>
      <c r="D87" s="28"/>
      <c r="E87" s="24"/>
      <c r="F87" s="2">
        <f>F90/62.4</f>
        <v>0.756272018859572</v>
      </c>
      <c r="G87" s="26" t="s">
        <v>65</v>
      </c>
    </row>
    <row r="88" spans="1:7" ht="12.75">
      <c r="A88" s="27"/>
      <c r="B88" s="23" t="s">
        <v>56</v>
      </c>
      <c r="C88" s="24"/>
      <c r="D88" s="28"/>
      <c r="E88" s="2"/>
      <c r="F88" s="2">
        <f>F86/29</f>
        <v>0.8106656621342028</v>
      </c>
      <c r="G88" s="26" t="s">
        <v>44</v>
      </c>
    </row>
    <row r="89" spans="1:7" ht="12.75">
      <c r="A89" s="27"/>
      <c r="B89" s="23" t="s">
        <v>57</v>
      </c>
      <c r="C89" s="24"/>
      <c r="D89" s="28"/>
      <c r="E89" s="24"/>
      <c r="F89" s="29">
        <v>0.958</v>
      </c>
      <c r="G89" s="26"/>
    </row>
    <row r="90" spans="1:7" ht="15.75">
      <c r="A90" s="27"/>
      <c r="B90" s="23" t="s">
        <v>58</v>
      </c>
      <c r="C90" s="24"/>
      <c r="D90" s="28"/>
      <c r="E90" s="24"/>
      <c r="F90" s="2">
        <f>(62.4*D10+0.0136*D12*D11)/(0.972+0.000147*(D12*SQRT(D11/D10)+1.25*(D9))^1.175)</f>
        <v>47.19137397683729</v>
      </c>
      <c r="G90" s="26" t="s">
        <v>43</v>
      </c>
    </row>
    <row r="91" spans="1:7" ht="15.75">
      <c r="A91" s="27"/>
      <c r="B91" s="23" t="s">
        <v>59</v>
      </c>
      <c r="C91" s="24"/>
      <c r="D91" s="28"/>
      <c r="E91" s="2"/>
      <c r="F91" s="2">
        <f>2.7*F88*D8/F89/(D9+460)</f>
        <v>2.0770518957699258</v>
      </c>
      <c r="G91" s="26" t="s">
        <v>43</v>
      </c>
    </row>
    <row r="92" spans="1:7" ht="12.75">
      <c r="A92" s="27"/>
      <c r="B92" s="23" t="s">
        <v>60</v>
      </c>
      <c r="C92" s="24"/>
      <c r="D92" s="28"/>
      <c r="E92" s="24"/>
      <c r="F92" s="2">
        <f>C69*F85/F90/5.615</f>
        <v>0.03691468588923256</v>
      </c>
      <c r="G92" s="26" t="s">
        <v>63</v>
      </c>
    </row>
    <row r="93" spans="1:7" ht="12.75">
      <c r="A93" s="27"/>
      <c r="B93" s="23" t="s">
        <v>61</v>
      </c>
      <c r="C93" s="24"/>
      <c r="D93" s="28"/>
      <c r="E93" s="2"/>
      <c r="F93" s="2">
        <f>F89*C52*10.73*520/14.7</f>
        <v>319.66113776380683</v>
      </c>
      <c r="G93" s="26" t="s">
        <v>64</v>
      </c>
    </row>
    <row r="94" spans="1:7" ht="12.75">
      <c r="A94" s="27"/>
      <c r="B94" s="23" t="s">
        <v>47</v>
      </c>
      <c r="C94" s="24"/>
      <c r="D94" s="28"/>
      <c r="E94" s="2"/>
      <c r="F94" s="5">
        <f>F93/F92</f>
        <v>8659.457071448278</v>
      </c>
      <c r="G94" s="26" t="s">
        <v>52</v>
      </c>
    </row>
    <row r="95" spans="1:7" s="23" customFormat="1" ht="13.5" thickBot="1">
      <c r="A95" s="30"/>
      <c r="B95" s="31" t="s">
        <v>62</v>
      </c>
      <c r="C95" s="31"/>
      <c r="D95" s="45"/>
      <c r="E95" s="31"/>
      <c r="F95" s="37">
        <f>141.5/F87-131.5</f>
        <v>55.601990383534684</v>
      </c>
      <c r="G95" s="33"/>
    </row>
    <row r="96" spans="5:6" ht="12.75">
      <c r="E96" s="15"/>
      <c r="F96" s="15"/>
    </row>
    <row r="97" spans="5:6" ht="12.75">
      <c r="E97" s="15"/>
      <c r="F97" s="1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bgg4826</dc:creator>
  <cp:keywords/>
  <dc:description/>
  <cp:lastModifiedBy>University of Louisiana at Lafayette</cp:lastModifiedBy>
  <cp:lastPrinted>2004-11-10T02:20:02Z</cp:lastPrinted>
  <dcterms:created xsi:type="dcterms:W3CDTF">2004-11-09T17:38:51Z</dcterms:created>
  <dcterms:modified xsi:type="dcterms:W3CDTF">2005-02-22T21:20:46Z</dcterms:modified>
  <cp:category/>
  <cp:version/>
  <cp:contentType/>
  <cp:contentStatus/>
</cp:coreProperties>
</file>